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📊 Dashboard" sheetId="1" state="visible" r:id="rId3"/>
    <sheet name="📋 Supuestos" sheetId="2" state="visible" r:id="rId4"/>
    <sheet name="📅 Flujos de Caja" sheetId="3" state="visible" r:id="rId5"/>
    <sheet name="📊 Resultados" sheetId="4" state="visible" r:id="rId6"/>
    <sheet name="📉 Escenario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<sst xmlns="http://schemas.openxmlformats.org/spreadsheetml/2006/main" count="221" uniqueCount="167">
  <si>
    <t xml:space="preserve">FORO HIPOTECARIO  |  ANÁLISIS DE INVERSIÓN INMOBILIARIA</t>
  </si>
  <si>
    <t xml:space="preserve">Simulador VAN · TIR · ROI · Payback · DSCR · Cash-on-Cash</t>
  </si>
  <si>
    <t xml:space="preserve">💰 Inversión Total</t>
  </si>
  <si>
    <t xml:space="preserve">📈 VAN</t>
  </si>
  <si>
    <t xml:space="preserve">🎯 TIR Anual</t>
  </si>
  <si>
    <t xml:space="preserve">💵 ROI Total</t>
  </si>
  <si>
    <t xml:space="preserve">⏱ Payback (años)</t>
  </si>
  <si>
    <t xml:space="preserve">🏦 DSCR</t>
  </si>
  <si>
    <t xml:space="preserve">INTERPRETACIÓN AUTOMÁTICA</t>
  </si>
  <si>
    <t xml:space="preserve">CÓMO USAR ESTA HERRAMIENTA</t>
  </si>
  <si>
    <t xml:space="preserve">1️⃣</t>
  </si>
  <si>
    <t xml:space="preserve">Ir a '📋 Supuestos'</t>
  </si>
  <si>
    <t xml:space="preserve">Introduce precio de compra, financiación, rentas y gastos</t>
  </si>
  <si>
    <t xml:space="preserve">2️⃣</t>
  </si>
  <si>
    <t xml:space="preserve">Ir a '📅 Flujos de Caja'</t>
  </si>
  <si>
    <t xml:space="preserve">Revisa y ajusta los flujos anuales proyectados</t>
  </si>
  <si>
    <t xml:space="preserve">3️⃣</t>
  </si>
  <si>
    <t xml:space="preserve">Consultar '📊 Resultados'</t>
  </si>
  <si>
    <t xml:space="preserve">Analiza VAN, TIR, ROI, Payback y DSCR</t>
  </si>
  <si>
    <t xml:space="preserve">4️⃣</t>
  </si>
  <si>
    <t xml:space="preserve">Ver '📉 Escenarios'</t>
  </si>
  <si>
    <t xml:space="preserve">Compara escenario base, optimista y pesimista</t>
  </si>
  <si>
    <t xml:space="preserve">© Foro Hipotecario Empresas  |  Herramienta de uso interno — No constituye asesoramiento financiero</t>
  </si>
  <si>
    <t xml:space="preserve">📋 SUPUESTOS DEL PROYECTO</t>
  </si>
  <si>
    <t xml:space="preserve">🏢  1. DATOS DEL ACTIVO</t>
  </si>
  <si>
    <t xml:space="preserve">PARÁMETRO</t>
  </si>
  <si>
    <t xml:space="preserve">VALOR</t>
  </si>
  <si>
    <t xml:space="preserve">UNIDAD</t>
  </si>
  <si>
    <t xml:space="preserve">NOTA</t>
  </si>
  <si>
    <t xml:space="preserve">Nombre del proyecto</t>
  </si>
  <si>
    <t xml:space="preserve">Proyecto Inmobiliario FH</t>
  </si>
  <si>
    <t xml:space="preserve">Precio de compra</t>
  </si>
  <si>
    <t xml:space="preserve">€</t>
  </si>
  <si>
    <t xml:space="preserve">Sin gastos</t>
  </si>
  <si>
    <t xml:space="preserve">Gastos de adquisición (AJD, notaría, registro)</t>
  </si>
  <si>
    <t xml:space="preserve">%</t>
  </si>
  <si>
    <t xml:space="preserve">% sobre precio compra</t>
  </si>
  <si>
    <t xml:space="preserve">Gastos adquisición (€)</t>
  </si>
  <si>
    <t xml:space="preserve">Calculado</t>
  </si>
  <si>
    <t xml:space="preserve">CAPEX / Reforma inicial</t>
  </si>
  <si>
    <t xml:space="preserve">Coste acondicionamiento</t>
  </si>
  <si>
    <t xml:space="preserve">Valor residual estimado (año N)</t>
  </si>
  <si>
    <t xml:space="preserve">Precio venta estimado</t>
  </si>
  <si>
    <t xml:space="preserve">Gastos de venta</t>
  </si>
  <si>
    <t xml:space="preserve">% sobre valor residual</t>
  </si>
  <si>
    <t xml:space="preserve">Gastos venta (€)</t>
  </si>
  <si>
    <t xml:space="preserve">🏦  2. FINANCIACIÓN</t>
  </si>
  <si>
    <t xml:space="preserve">Inversión total (compra + gastos + capex)</t>
  </si>
  <si>
    <t xml:space="preserve">Equity aportado</t>
  </si>
  <si>
    <t xml:space="preserve">Fondos propios</t>
  </si>
  <si>
    <t xml:space="preserve">LTV (Loan-to-Value)</t>
  </si>
  <si>
    <t xml:space="preserve">Importe del préstamo</t>
  </si>
  <si>
    <t xml:space="preserve">Tipo de interés hipotecario</t>
  </si>
  <si>
    <t xml:space="preserve">Tipo fijo anual</t>
  </si>
  <si>
    <t xml:space="preserve">Plazo hipoteca</t>
  </si>
  <si>
    <t xml:space="preserve">años</t>
  </si>
  <si>
    <t xml:space="preserve">Cuota hipotecaria anual</t>
  </si>
  <si>
    <t xml:space="preserve">Calculado (francesa)</t>
  </si>
  <si>
    <t xml:space="preserve">💵  3. INGRESOS</t>
  </si>
  <si>
    <t xml:space="preserve">Renta bruta anual (año 1)</t>
  </si>
  <si>
    <t xml:space="preserve">Ingresos por alquiler</t>
  </si>
  <si>
    <t xml:space="preserve">Tasa de vacancia media</t>
  </si>
  <si>
    <t xml:space="preserve">% tiempo sin inquilino</t>
  </si>
  <si>
    <t xml:space="preserve">Renta efectiva neta (año 1)</t>
  </si>
  <si>
    <t xml:space="preserve">Crecimiento anual de rentas</t>
  </si>
  <si>
    <t xml:space="preserve">IPC estimado</t>
  </si>
  <si>
    <t xml:space="preserve">📉  4. GASTOS OPERATIVOS</t>
  </si>
  <si>
    <t xml:space="preserve">IBI anual</t>
  </si>
  <si>
    <t xml:space="preserve">Comunidad / mantenimiento</t>
  </si>
  <si>
    <t xml:space="preserve">Seguro del inmueble</t>
  </si>
  <si>
    <t xml:space="preserve">Gastos de gestión / property mgmt</t>
  </si>
  <si>
    <t xml:space="preserve">% sobre renta bruta</t>
  </si>
  <si>
    <t xml:space="preserve">Gastos gestión (€)</t>
  </si>
  <si>
    <t xml:space="preserve">Otros gastos anuales</t>
  </si>
  <si>
    <t xml:space="preserve">Imprevistos, reparaciones</t>
  </si>
  <si>
    <t xml:space="preserve">Total gastos operativos (año 1)</t>
  </si>
  <si>
    <t xml:space="preserve">Crecimiento anual de gastos</t>
  </si>
  <si>
    <t xml:space="preserve">IPC estimado gastos</t>
  </si>
  <si>
    <t xml:space="preserve">⚙️  5. PARÁMETROS DE ANÁLISIS</t>
  </si>
  <si>
    <t xml:space="preserve">Horizonte de inversión</t>
  </si>
  <si>
    <t xml:space="preserve">Período de análisis</t>
  </si>
  <si>
    <t xml:space="preserve">Tasa de descuento (WACC / coste capital)</t>
  </si>
  <si>
    <t xml:space="preserve">Tasa mínima aceptable</t>
  </si>
  <si>
    <t xml:space="preserve">Tipo impositivo (IS / IRPF)</t>
  </si>
  <si>
    <t xml:space="preserve">Sobre beneficio neto</t>
  </si>
  <si>
    <t xml:space="preserve">LEYENDA DE COLORES</t>
  </si>
  <si>
    <t xml:space="preserve">🔵 Azul = Celda de entrada (puedes modificar)</t>
  </si>
  <si>
    <t xml:space="preserve">⚫ Negro = Fórmula (no modificar)</t>
  </si>
  <si>
    <t xml:space="preserve">📅 FLUJOS DE CAJA PROYECTADOS (10 AÑOS)</t>
  </si>
  <si>
    <t xml:space="preserve">CONCEPTO</t>
  </si>
  <si>
    <t xml:space="preserve">Año 1</t>
  </si>
  <si>
    <t xml:space="preserve">Año 2</t>
  </si>
  <si>
    <t xml:space="preserve">Año 3</t>
  </si>
  <si>
    <t xml:space="preserve">Año 4</t>
  </si>
  <si>
    <t xml:space="preserve">Año 5</t>
  </si>
  <si>
    <t xml:space="preserve">Año 6</t>
  </si>
  <si>
    <t xml:space="preserve">Año 7</t>
  </si>
  <si>
    <t xml:space="preserve">Año 8</t>
  </si>
  <si>
    <t xml:space="preserve">Año 9</t>
  </si>
  <si>
    <t xml:space="preserve">Año 10</t>
  </si>
  <si>
    <t xml:space="preserve">TOTAL</t>
  </si>
  <si>
    <t xml:space="preserve">INGRESOS</t>
  </si>
  <si>
    <t xml:space="preserve">Renta efectiva neta</t>
  </si>
  <si>
    <t xml:space="preserve">GASTOS OPERATIVOS</t>
  </si>
  <si>
    <t xml:space="preserve">Total gastos operativos</t>
  </si>
  <si>
    <t xml:space="preserve">NOI (Net Operating Income)</t>
  </si>
  <si>
    <t xml:space="preserve">SERVICIO DE LA DEUDA</t>
  </si>
  <si>
    <t xml:space="preserve">Flujo antes de impuestos (EBT)</t>
  </si>
  <si>
    <t xml:space="preserve">Impuestos (IS/IRPF)</t>
  </si>
  <si>
    <t xml:space="preserve">FCL (Flujo de Caja Levered)</t>
  </si>
  <si>
    <t xml:space="preserve">Valor residual neto (venta año 10)</t>
  </si>
  <si>
    <t xml:space="preserve">FLUJO TOTAL (con valor residual)</t>
  </si>
  <si>
    <t xml:space="preserve">Flujo acumulado</t>
  </si>
  <si>
    <t xml:space="preserve">IRR Helper</t>
  </si>
  <si>
    <t xml:space="preserve">📊 RESULTADOS Y MÉTRICAS DE RENTABILIDAD</t>
  </si>
  <si>
    <t xml:space="preserve">MÉTRICA</t>
  </si>
  <si>
    <t xml:space="preserve">UMBRAL</t>
  </si>
  <si>
    <t xml:space="preserve">INTERPRETACIÓN</t>
  </si>
  <si>
    <t xml:space="preserve">📐  MÉTRICAS PRINCIPALES</t>
  </si>
  <si>
    <t xml:space="preserve">VAN (Valor Actual Neto)</t>
  </si>
  <si>
    <t xml:space="preserve">VAN &gt; 0 = viable</t>
  </si>
  <si>
    <t xml:space="preserve">TIR (Tasa Interna de Retorno)</t>
  </si>
  <si>
    <t xml:space="preserve">&gt; WACC (ver Supuestos)</t>
  </si>
  <si>
    <t xml:space="preserve">ROI Total (sobre equity)</t>
  </si>
  <si>
    <t xml:space="preserve">&gt; 0%</t>
  </si>
  <si>
    <t xml:space="preserve">Payback (años recuperación)</t>
  </si>
  <si>
    <t xml:space="preserve">&lt; horizonte inversión</t>
  </si>
  <si>
    <t xml:space="preserve">DSCR (Cobertura deuda, año 1)</t>
  </si>
  <si>
    <t xml:space="preserve">&gt; 1.20x</t>
  </si>
  <si>
    <t xml:space="preserve">📊  MÉTRICAS SECUNDARIAS</t>
  </si>
  <si>
    <t xml:space="preserve">Rentabilidad Bruta (Gross Yield)</t>
  </si>
  <si>
    <t xml:space="preserve">&gt; 5%</t>
  </si>
  <si>
    <t xml:space="preserve">Yield Neto (Net Yield)</t>
  </si>
  <si>
    <t xml:space="preserve">&gt; 3.5%</t>
  </si>
  <si>
    <t xml:space="preserve">Cash-on-Cash (año 1)</t>
  </si>
  <si>
    <t xml:space="preserve">&gt; 6%</t>
  </si>
  <si>
    <t xml:space="preserve">Equity Multiple (EM)</t>
  </si>
  <si>
    <t xml:space="preserve">&gt; 1.5x en 10 años</t>
  </si>
  <si>
    <t xml:space="preserve">🏦  MÉTRICAS FINANCIACIÓN</t>
  </si>
  <si>
    <t xml:space="preserve">&lt; 70% (óptimo)</t>
  </si>
  <si>
    <t xml:space="preserve">Amortización francesa</t>
  </si>
  <si>
    <t xml:space="preserve">Esfuerzo financiero (cuota/NOI)</t>
  </si>
  <si>
    <t xml:space="preserve">&lt; 70%</t>
  </si>
  <si>
    <t xml:space="preserve">📉 ANÁLISIS DE ESCENARIOS</t>
  </si>
  <si>
    <t xml:space="preserve">🐻 PESIMISTA</t>
  </si>
  <si>
    <t xml:space="preserve">📊 BASE</t>
  </si>
  <si>
    <t xml:space="preserve">🐂 OPTIMISTA</t>
  </si>
  <si>
    <t xml:space="preserve">VARIACIÓN</t>
  </si>
  <si>
    <t xml:space="preserve">📥  SUPUESTOS POR ESCENARIO</t>
  </si>
  <si>
    <t xml:space="preserve">Precio de compra (€)</t>
  </si>
  <si>
    <t xml:space="preserve">Base = escenario central</t>
  </si>
  <si>
    <t xml:space="preserve">Renta bruta año 1 (€)</t>
  </si>
  <si>
    <t xml:space="preserve">Pesi: -13% / Opti: +13%</t>
  </si>
  <si>
    <t xml:space="preserve">Vacancia (%)</t>
  </si>
  <si>
    <t xml:space="preserve">Pesi: 10% / Opti: 3%</t>
  </si>
  <si>
    <t xml:space="preserve">Crecimiento rentas (%)</t>
  </si>
  <si>
    <t xml:space="preserve">Pesi: 1% / Opti: 3%</t>
  </si>
  <si>
    <t xml:space="preserve">Valor residual (€)</t>
  </si>
  <si>
    <t xml:space="preserve">Pesi: =compra / Opti: +47%</t>
  </si>
  <si>
    <t xml:space="preserve">Tipo de interés (%)</t>
  </si>
  <si>
    <t xml:space="preserve">Pesi: 4.5% / Opti: 3.0%</t>
  </si>
  <si>
    <t xml:space="preserve">📊  RESULTADOS POR ESCENARIO (ESTIMADOS)</t>
  </si>
  <si>
    <t xml:space="preserve">VAN estimado (€)</t>
  </si>
  <si>
    <t xml:space="preserve">TIR estimada (%)</t>
  </si>
  <si>
    <t xml:space="preserve">ROI estimado (%)</t>
  </si>
  <si>
    <t xml:space="preserve">Payback estimado (años)</t>
  </si>
  <si>
    <t xml:space="preserve">⚠️  NOTA: Los escenarios pesimista y optimista son estimaciones simplificadas basadas en el escenario base. Para un análisis riguroso, duplique la hoja de Supuestos con los valores de cada escenario.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</si>
</sst>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\€#,##0"/>
    <numFmt numFmtId="166" formatCode="0.00%"/>
    <numFmt numFmtId="167" formatCode="0.0"/>
    <numFmt numFmtId="168" formatCode="0.00\x"/>
    <numFmt numFmtId="169" formatCode="0.0%"/>
    <numFmt numFmtId="170" formatCode="0.000%"/>
    <numFmt numFmtId="171" formatCode="\€#,##0;&quot;(€&quot;#,##0\);\-"/>
    <numFmt numFmtId="172" formatCode="0"/>
    <numFmt numFmtId="173" formatCode="0.00"/>
    <numFmt numFmtId="174" formatCode="0.0\x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1B2A4A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6"/>
      <color rgb="FF1B2A4A"/>
      <name val="Arial"/>
      <family val="0"/>
      <charset val="1"/>
    </font>
    <font>
      <b val="true"/>
      <sz val="16"/>
      <color rgb="FF1E6B3C"/>
      <name val="Arial"/>
      <family val="0"/>
      <charset val="1"/>
    </font>
    <font>
      <b val="true"/>
      <sz val="16"/>
      <color rgb="FF2C3E6B"/>
      <name val="Arial"/>
      <family val="0"/>
      <charset val="1"/>
    </font>
    <font>
      <b val="true"/>
      <sz val="16"/>
      <color rgb="FFC9A84C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B2A4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9"/>
      <color rgb="FF1B2A4A"/>
      <name val="Arial"/>
      <family val="0"/>
      <charset val="1"/>
    </font>
    <font>
      <i val="true"/>
      <sz val="8"/>
      <color rgb="FF555555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8"/>
      <color rgb="FF555555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C0392B"/>
      <name val="Arial"/>
      <family val="0"/>
      <charset val="1"/>
    </font>
    <font>
      <b val="true"/>
      <sz val="9"/>
      <color rgb="FFC0392B"/>
      <name val="Arial"/>
      <family val="0"/>
      <charset val="1"/>
    </font>
    <font>
      <b val="true"/>
      <sz val="9"/>
      <color rgb="FF1E6B3C"/>
      <name val="Arial"/>
      <family val="0"/>
      <charset val="1"/>
    </font>
    <font>
      <sz val="9"/>
      <color rgb="FF1E6B3C"/>
      <name val="Arial"/>
      <family val="0"/>
      <charset val="1"/>
    </font>
    <font>
      <sz val="9"/>
      <color rgb="FF2C3E6B"/>
      <name val="Arial"/>
      <family val="0"/>
      <charset val="1"/>
    </font>
    <font>
      <b val="true"/>
      <sz val="9"/>
      <color rgb="FF2C3E6B"/>
      <name val="Arial"/>
      <family val="0"/>
      <charset val="1"/>
    </font>
    <font>
      <b val="true"/>
      <sz val="13"/>
      <color rgb="FF1E6B3C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0"/>
      <color rgb="FF1B2A4A"/>
      <name val="Arial"/>
      <family val="0"/>
      <charset val="1"/>
    </font>
    <font>
      <sz val="9"/>
      <color rgb="FF1B2A4A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2F4F8"/>
        <bgColor rgb="FFEDF4FF"/>
      </patternFill>
    </fill>
    <fill>
      <patternFill patternType="solid">
        <fgColor rgb="FFFFFFFF"/>
        <bgColor rgb="FFFFF9E6"/>
      </patternFill>
    </fill>
    <fill>
      <patternFill patternType="solid">
        <fgColor rgb="FF2C3E6B"/>
        <bgColor rgb="FF1B2A4A"/>
      </patternFill>
    </fill>
    <fill>
      <patternFill patternType="solid">
        <fgColor rgb="FFEBF0FA"/>
        <bgColor rgb="FFEDF4FF"/>
      </patternFill>
    </fill>
    <fill>
      <patternFill patternType="solid">
        <fgColor rgb="FFC9A84C"/>
        <bgColor rgb="FFFF9900"/>
      </patternFill>
    </fill>
    <fill>
      <patternFill patternType="solid">
        <fgColor rgb="FFD9DDE6"/>
        <bgColor rgb="FFD5EFDF"/>
      </patternFill>
    </fill>
    <fill>
      <patternFill patternType="solid">
        <fgColor rgb="FFEDF4FF"/>
        <bgColor rgb="FFF2F4F8"/>
      </patternFill>
    </fill>
    <fill>
      <patternFill patternType="solid">
        <fgColor rgb="FFD5EFDF"/>
        <bgColor rgb="FFD9DDE6"/>
      </patternFill>
    </fill>
    <fill>
      <patternFill patternType="solid">
        <fgColor rgb="FF8B1A1A"/>
        <bgColor rgb="FF800000"/>
      </patternFill>
    </fill>
    <fill>
      <patternFill patternType="solid">
        <fgColor rgb="FF1E6B3C"/>
        <bgColor rgb="FF008080"/>
      </patternFill>
    </fill>
    <fill>
      <patternFill patternType="solid">
        <fgColor rgb="FFFFF9E6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DE6"/>
      </left>
      <right style="thin">
        <color rgb="FFD9DDE6"/>
      </right>
      <top style="thin">
        <color rgb="FFD9DDE6"/>
      </top>
      <bottom style="thin">
        <color rgb="FFD9DDE6"/>
      </bottom>
      <diagonal/>
    </border>
    <border diagonalUp="false" diagonalDown="false">
      <left style="thin">
        <color rgb="FFD9DDE6"/>
      </left>
      <right/>
      <top style="thin">
        <color rgb="FFD9DDE6"/>
      </top>
      <bottom style="thin">
        <color rgb="FFD9DD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7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2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2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2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22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4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2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6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25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1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27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2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7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9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2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30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71" fontId="3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3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3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3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3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33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74" fontId="3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3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3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4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2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1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3C"/>
      <rgbColor rgb="FF000080"/>
      <rgbColor rgb="FF808000"/>
      <rgbColor rgb="FF800080"/>
      <rgbColor rgb="FF008080"/>
      <rgbColor rgb="FFC0C0C0"/>
      <rgbColor rgb="FF808080"/>
      <rgbColor rgb="FF9999FF"/>
      <rgbColor rgb="FFC0392B"/>
      <rgbColor rgb="FFFFF9E6"/>
      <rgbColor rgb="FFEDF4FF"/>
      <rgbColor rgb="FF660066"/>
      <rgbColor rgb="FFFF8080"/>
      <rgbColor rgb="FF0066CC"/>
      <rgbColor rgb="FFD9DD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0FA"/>
      <rgbColor rgb="FFD5EFDF"/>
      <rgbColor rgb="FFF2F4F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C9A84C"/>
      <rgbColor rgb="FF003366"/>
      <rgbColor rgb="FF339966"/>
      <rgbColor rgb="FF003300"/>
      <rgbColor rgb="FF333300"/>
      <rgbColor rgb="FF8B1A1A"/>
      <rgbColor rgb="FF993366"/>
      <rgbColor rgb="FF2C3E6B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8"/>
    <col collapsed="false" customWidth="true" hidden="false" outlineLevel="0" max="7" min="3" style="1" width="18"/>
    <col collapsed="false" customWidth="true" hidden="false" outlineLevel="0" max="8" min="8" style="1" width="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69.75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</row>
    <row r="3" customFormat="false" ht="9.75" hidden="false" customHeight="true" outlineLevel="0" collapsed="false">
      <c r="A3" s="2"/>
      <c r="B3" s="2"/>
      <c r="C3" s="2"/>
      <c r="D3" s="2"/>
      <c r="E3" s="2"/>
      <c r="F3" s="2"/>
      <c r="G3" s="2"/>
      <c r="H3" s="2"/>
    </row>
    <row r="4" customFormat="false" ht="27.75" hidden="false" customHeight="true" outlineLevel="0" collapsed="false">
      <c r="B4" s="4" t="s">
        <v>1</v>
      </c>
      <c r="C4" s="4"/>
      <c r="D4" s="4"/>
      <c r="E4" s="4"/>
      <c r="F4" s="4"/>
      <c r="G4" s="4"/>
      <c r="H4" s="4"/>
    </row>
    <row r="5" customFormat="false" ht="7.5" hidden="false" customHeight="true" outlineLevel="0" collapsed="false"/>
    <row r="6" customFormat="false" ht="13.5" hidden="false" customHeight="true" outlineLevel="0" collapsed="false"/>
    <row r="7" customFormat="false" ht="21.75" hidden="false" customHeight="true" outlineLevel="0" collapsed="false"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</row>
    <row r="8" customFormat="false" ht="31.5" hidden="false" customHeight="true" outlineLevel="0" collapsed="false">
      <c r="B8" s="6" t="n">
        <f aca="false">'📋 Supuestos'!C18</f>
        <v>600000</v>
      </c>
      <c r="C8" s="7" t="n">
        <f aca="false">'📊 Resultados'!C5</f>
        <v>0</v>
      </c>
      <c r="D8" s="8" t="n">
        <f aca="false">'📊 Resultados'!C7</f>
        <v>0.128676612804911</v>
      </c>
      <c r="E8" s="9" t="n">
        <f aca="false">'📊 Resultados'!C7</f>
        <v>0.128676612804911</v>
      </c>
      <c r="F8" s="10" t="n">
        <f aca="false">'📊 Resultados'!C9</f>
        <v>6</v>
      </c>
      <c r="G8" s="11" t="n">
        <f aca="false">'📊 Resultados'!C9</f>
        <v>6</v>
      </c>
    </row>
    <row r="9" customFormat="false" ht="19.5" hidden="false" customHeight="true" outlineLevel="0" collapsed="false"/>
    <row r="10" customFormat="false" ht="9.75" hidden="false" customHeight="true" outlineLevel="0" collapsed="false"/>
    <row r="11" customFormat="false" ht="13.5" hidden="false" customHeight="true" outlineLevel="0" collapsed="false">
      <c r="B11" s="12" t="s">
        <v>8</v>
      </c>
      <c r="C11" s="12"/>
      <c r="D11" s="12"/>
      <c r="E11" s="12"/>
      <c r="F11" s="12"/>
      <c r="G11" s="12"/>
    </row>
    <row r="12" customFormat="false" ht="24" hidden="false" customHeight="true" outlineLevel="0" collapsed="false">
      <c r="B12" s="13" t="str">
        <f aca="false">IF('📊 Resultados'!C5&gt;0,"✅ INVERSIÓN VIABLE: VAN positivo ("&amp;TEXT('📊 Resultados'!C5,"€#,##0")&amp;"). TIR del "&amp;TEXT('📊 Resultados'!C6,"0.00%")&amp;" superior al coste del capital. Payback en "&amp;TEXT('📊 Resultados'!C8,"0.0")&amp;" años.","⚠️ INVERSIÓN NO VIABLE: VAN negativo ("&amp;TEXT('📊 Resultados'!C5,"€#,##0")&amp;"). Revise los supuestos.")</f>
        <v>⚠️ INVERSIÓN NO VIABLE: VAN negativo (€0). Revise los supuestos.</v>
      </c>
      <c r="C12" s="13"/>
      <c r="D12" s="13"/>
      <c r="E12" s="13"/>
      <c r="F12" s="13"/>
      <c r="G12" s="13"/>
    </row>
    <row r="13" customFormat="false" ht="12" hidden="false" customHeight="true" outlineLevel="0" collapsed="false">
      <c r="B13" s="14"/>
      <c r="C13" s="14"/>
      <c r="D13" s="14"/>
      <c r="E13" s="14"/>
      <c r="F13" s="14"/>
      <c r="G13" s="14"/>
    </row>
    <row r="14" customFormat="false" ht="18" hidden="false" customHeight="true" outlineLevel="0" collapsed="false">
      <c r="B14" s="15" t="s">
        <v>9</v>
      </c>
      <c r="C14" s="15"/>
      <c r="D14" s="15"/>
      <c r="E14" s="15"/>
      <c r="F14" s="15"/>
      <c r="G14" s="15"/>
    </row>
    <row r="15" customFormat="false" ht="19.5" hidden="false" customHeight="true" outlineLevel="0" collapsed="false">
      <c r="B15" s="16" t="s">
        <v>10</v>
      </c>
      <c r="C15" s="17" t="s">
        <v>11</v>
      </c>
      <c r="D15" s="17"/>
      <c r="E15" s="18" t="s">
        <v>12</v>
      </c>
      <c r="F15" s="18"/>
      <c r="G15" s="18"/>
    </row>
    <row r="16" customFormat="false" ht="19.5" hidden="false" customHeight="true" outlineLevel="0" collapsed="false">
      <c r="B16" s="16" t="s">
        <v>13</v>
      </c>
      <c r="C16" s="17" t="s">
        <v>14</v>
      </c>
      <c r="D16" s="17"/>
      <c r="E16" s="18" t="s">
        <v>15</v>
      </c>
      <c r="F16" s="18"/>
      <c r="G16" s="18"/>
    </row>
    <row r="17" customFormat="false" ht="19.5" hidden="false" customHeight="true" outlineLevel="0" collapsed="false">
      <c r="B17" s="16" t="s">
        <v>16</v>
      </c>
      <c r="C17" s="17" t="s">
        <v>17</v>
      </c>
      <c r="D17" s="17"/>
      <c r="E17" s="18" t="s">
        <v>18</v>
      </c>
      <c r="F17" s="18"/>
      <c r="G17" s="18"/>
    </row>
    <row r="18" customFormat="false" ht="19.5" hidden="false" customHeight="true" outlineLevel="0" collapsed="false">
      <c r="B18" s="16" t="s">
        <v>19</v>
      </c>
      <c r="C18" s="17" t="s">
        <v>20</v>
      </c>
      <c r="D18" s="17"/>
      <c r="E18" s="18" t="s">
        <v>21</v>
      </c>
      <c r="F18" s="18"/>
      <c r="G18" s="18"/>
    </row>
    <row r="19" customFormat="false" ht="19.5" hidden="false" customHeight="true" outlineLevel="0" collapsed="false"/>
    <row r="20" customFormat="false" ht="19.5" hidden="false" customHeight="true" outlineLevel="0" collapsed="false"/>
    <row r="21" customFormat="false" ht="18" hidden="false" customHeight="true" outlineLevel="0" collapsed="false">
      <c r="B21" s="19" t="s">
        <v>22</v>
      </c>
      <c r="C21" s="19"/>
      <c r="D21" s="19"/>
      <c r="E21" s="19"/>
      <c r="F21" s="19"/>
      <c r="G21" s="19"/>
    </row>
    <row r="22" customFormat="false" ht="19.5" hidden="false" customHeight="true" outlineLevel="0" collapsed="false"/>
    <row r="23" customFormat="false" ht="19.5" hidden="false" customHeight="true" outlineLevel="0" collapsed="false"/>
    <row r="24" customFormat="false" ht="19.5" hidden="false" customHeight="true" outlineLevel="0" collapsed="false"/>
    <row r="25" customFormat="false" ht="19.5" hidden="false" customHeight="true" outlineLevel="0" collapsed="false"/>
    <row r="26" customFormat="false" ht="19.5" hidden="false" customHeight="true" outlineLevel="0" collapsed="false"/>
    <row r="27" customFormat="false" ht="19.5" hidden="false" customHeight="true" outlineLevel="0" collapsed="false"/>
    <row r="28" customFormat="false" ht="19.5" hidden="false" customHeight="true" outlineLevel="0" collapsed="false"/>
    <row r="29" customFormat="false" ht="19.5" hidden="false" customHeight="true" outlineLevel="0" collapsed="false"/>
    <row r="30" customFormat="false" ht="19.5" hidden="false" customHeight="true" outlineLevel="0" collapsed="false"/>
    <row r="31" customFormat="false" ht="19.5" hidden="false" customHeight="true" outlineLevel="0" collapsed="false"/>
    <row r="32" customFormat="false" ht="19.5" hidden="false" customHeight="true" outlineLevel="0" collapsed="false"/>
    <row r="33" customFormat="false" ht="19.5" hidden="false" customHeight="true" outlineLevel="0" collapsed="false"/>
    <row r="34" customFormat="false" ht="19.5" hidden="false" customHeight="true" outlineLevel="0" collapsed="false"/>
    <row r="35" customFormat="false" ht="19.5" hidden="false" customHeight="true" outlineLevel="0" collapsed="false"/>
    <row r="36" customFormat="false" ht="19.5" hidden="false" customHeight="true" outlineLevel="0" collapsed="false"/>
    <row r="37" customFormat="false" ht="19.5" hidden="false" customHeight="true" outlineLevel="0" collapsed="false"/>
    <row r="38" customFormat="false" ht="19.5" hidden="false" customHeight="true" outlineLevel="0" collapsed="false"/>
    <row r="39" customFormat="false" ht="19.5" hidden="false" customHeight="true" outlineLevel="0" collapsed="false"/>
    <row r="40" customFormat="false" ht="19.5" hidden="false" customHeight="true" outlineLevel="0" collapsed="false"/>
    <row r="41" customFormat="false" ht="19.5" hidden="false" customHeight="true" outlineLevel="0" collapsed="false"/>
    <row r="42" customFormat="false" ht="19.5" hidden="false" customHeight="true" outlineLevel="0" collapsed="false"/>
    <row r="43" customFormat="false" ht="19.5" hidden="false" customHeight="true" outlineLevel="0" collapsed="false"/>
    <row r="44" customFormat="false" ht="19.5" hidden="false" customHeight="true" outlineLevel="0" collapsed="false"/>
    <row r="45" customFormat="false" ht="19.5" hidden="false" customHeight="true" outlineLevel="0" collapsed="false"/>
    <row r="46" customFormat="false" ht="19.5" hidden="false" customHeight="true" outlineLevel="0" collapsed="false"/>
    <row r="47" customFormat="false" ht="19.5" hidden="false" customHeight="true" outlineLevel="0" collapsed="false"/>
    <row r="48" customFormat="false" ht="19.5" hidden="false" customHeight="true" outlineLevel="0" collapsed="false"/>
    <row r="49" customFormat="false" ht="19.5" hidden="false" customHeight="true" outlineLevel="0" collapsed="false"/>
    <row r="50" customFormat="false" ht="19.5" hidden="false" customHeight="true" outlineLevel="0" collapsed="false"/>
    <row r="51" customFormat="false" ht="19.5" hidden="false" customHeight="true" outlineLevel="0" collapsed="false"/>
    <row r="52" customFormat="false" ht="19.5" hidden="false" customHeight="true" outlineLevel="0" collapsed="false"/>
    <row r="53" customFormat="false" ht="19.5" hidden="false" customHeight="true" outlineLevel="0" collapsed="false"/>
    <row r="54" customFormat="false" ht="19.5" hidden="false" customHeight="true" outlineLevel="0" collapsed="false"/>
    <row r="55" customFormat="false" ht="19.5" hidden="false" customHeight="true" outlineLevel="0" collapsed="false"/>
    <row r="56" customFormat="false" ht="19.5" hidden="false" customHeight="true" outlineLevel="0" collapsed="false"/>
    <row r="57" customFormat="false" ht="19.5" hidden="false" customHeight="true" outlineLevel="0" collapsed="false"/>
    <row r="58" customFormat="false" ht="19.5" hidden="false" customHeight="true" outlineLevel="0" collapsed="false"/>
    <row r="59" customFormat="false" ht="19.5" hidden="false" customHeight="true" outlineLevel="0" collapsed="false"/>
  </sheetData>
  <mergeCells count="15">
    <mergeCell ref="B2:H2"/>
    <mergeCell ref="B4:H4"/>
    <mergeCell ref="B11:G11"/>
    <mergeCell ref="B12:G12"/>
    <mergeCell ref="B13:G13"/>
    <mergeCell ref="B14:G14"/>
    <mergeCell ref="C15:D15"/>
    <mergeCell ref="E15:G15"/>
    <mergeCell ref="C16:D16"/>
    <mergeCell ref="E16:G16"/>
    <mergeCell ref="C17:D17"/>
    <mergeCell ref="E17:G17"/>
    <mergeCell ref="C18:D18"/>
    <mergeCell ref="E18:G18"/>
    <mergeCell ref="B21:G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2"/>
    <col collapsed="false" customWidth="true" hidden="false" outlineLevel="0" max="4" min="3" style="1" width="18"/>
    <col collapsed="false" customWidth="true" hidden="false" outlineLevel="0" max="5" min="5" style="1" width="22"/>
    <col collapsed="false" customWidth="true" hidden="false" outlineLevel="0" max="6" min="6" style="1" width="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</row>
    <row r="2" customFormat="false" ht="34.5" hidden="false" customHeight="true" outlineLevel="0" collapsed="false">
      <c r="A2" s="2"/>
      <c r="B2" s="20" t="s">
        <v>23</v>
      </c>
      <c r="C2" s="20"/>
      <c r="D2" s="20"/>
      <c r="E2" s="20"/>
      <c r="F2" s="2"/>
    </row>
    <row r="3" customFormat="false" ht="7.5" hidden="false" customHeight="true" outlineLevel="0" collapsed="false"/>
    <row r="4" customFormat="false" ht="21.75" hidden="false" customHeight="true" outlineLevel="0" collapsed="false">
      <c r="B4" s="15" t="s">
        <v>24</v>
      </c>
      <c r="C4" s="15"/>
      <c r="D4" s="15"/>
      <c r="E4" s="15"/>
    </row>
    <row r="5" customFormat="false" ht="15.75" hidden="false" customHeight="true" outlineLevel="0" collapsed="false">
      <c r="B5" s="21" t="s">
        <v>25</v>
      </c>
      <c r="C5" s="21" t="s">
        <v>26</v>
      </c>
      <c r="D5" s="21" t="s">
        <v>27</v>
      </c>
      <c r="E5" s="21" t="s">
        <v>28</v>
      </c>
    </row>
    <row r="6" customFormat="false" ht="19.5" hidden="false" customHeight="true" outlineLevel="0" collapsed="false">
      <c r="B6" s="22" t="s">
        <v>29</v>
      </c>
      <c r="C6" s="23" t="s">
        <v>30</v>
      </c>
      <c r="D6" s="24"/>
      <c r="E6" s="25"/>
    </row>
    <row r="7" customFormat="false" ht="19.5" hidden="false" customHeight="true" outlineLevel="0" collapsed="false">
      <c r="B7" s="26" t="s">
        <v>31</v>
      </c>
      <c r="C7" s="27" t="n">
        <v>1500000</v>
      </c>
      <c r="D7" s="5" t="s">
        <v>32</v>
      </c>
      <c r="E7" s="28" t="s">
        <v>33</v>
      </c>
    </row>
    <row r="8" customFormat="false" ht="19.5" hidden="false" customHeight="true" outlineLevel="0" collapsed="false">
      <c r="B8" s="22" t="s">
        <v>34</v>
      </c>
      <c r="C8" s="23" t="n">
        <v>0.08</v>
      </c>
      <c r="D8" s="24" t="s">
        <v>35</v>
      </c>
      <c r="E8" s="25" t="s">
        <v>36</v>
      </c>
    </row>
    <row r="9" customFormat="false" ht="19.5" hidden="false" customHeight="true" outlineLevel="0" collapsed="false">
      <c r="B9" s="26" t="s">
        <v>37</v>
      </c>
      <c r="C9" s="29" t="n">
        <f aca="false">C7*C8</f>
        <v>120000</v>
      </c>
      <c r="D9" s="5" t="s">
        <v>32</v>
      </c>
      <c r="E9" s="28" t="s">
        <v>38</v>
      </c>
    </row>
    <row r="10" customFormat="false" ht="19.5" hidden="false" customHeight="true" outlineLevel="0" collapsed="false">
      <c r="B10" s="22" t="s">
        <v>39</v>
      </c>
      <c r="C10" s="27" t="n">
        <v>50000</v>
      </c>
      <c r="D10" s="24" t="s">
        <v>32</v>
      </c>
      <c r="E10" s="25" t="s">
        <v>40</v>
      </c>
    </row>
    <row r="11" customFormat="false" ht="19.5" hidden="false" customHeight="true" outlineLevel="0" collapsed="false">
      <c r="B11" s="26" t="s">
        <v>41</v>
      </c>
      <c r="C11" s="27" t="n">
        <v>1800000</v>
      </c>
      <c r="D11" s="5" t="s">
        <v>32</v>
      </c>
      <c r="E11" s="28" t="s">
        <v>42</v>
      </c>
    </row>
    <row r="12" customFormat="false" ht="19.5" hidden="false" customHeight="true" outlineLevel="0" collapsed="false">
      <c r="B12" s="22" t="s">
        <v>43</v>
      </c>
      <c r="C12" s="23" t="n">
        <v>0.03</v>
      </c>
      <c r="D12" s="24" t="s">
        <v>35</v>
      </c>
      <c r="E12" s="25" t="s">
        <v>44</v>
      </c>
    </row>
    <row r="13" customFormat="false" ht="19.5" hidden="false" customHeight="true" outlineLevel="0" collapsed="false">
      <c r="B13" s="26" t="s">
        <v>45</v>
      </c>
      <c r="C13" s="29" t="n">
        <f aca="false">C11*C12</f>
        <v>54000</v>
      </c>
      <c r="D13" s="5" t="s">
        <v>32</v>
      </c>
      <c r="E13" s="28" t="s">
        <v>38</v>
      </c>
    </row>
    <row r="14" customFormat="false" ht="7.5" hidden="false" customHeight="true" outlineLevel="0" collapsed="false"/>
    <row r="15" customFormat="false" ht="21.75" hidden="false" customHeight="true" outlineLevel="0" collapsed="false">
      <c r="B15" s="15" t="s">
        <v>46</v>
      </c>
      <c r="C15" s="15"/>
      <c r="D15" s="15"/>
      <c r="E15" s="15"/>
    </row>
    <row r="16" customFormat="false" ht="15.75" hidden="false" customHeight="true" outlineLevel="0" collapsed="false">
      <c r="B16" s="21" t="s">
        <v>25</v>
      </c>
      <c r="C16" s="21" t="s">
        <v>26</v>
      </c>
      <c r="D16" s="21" t="s">
        <v>27</v>
      </c>
      <c r="E16" s="21" t="s">
        <v>28</v>
      </c>
    </row>
    <row r="17" customFormat="false" ht="19.5" hidden="false" customHeight="true" outlineLevel="0" collapsed="false">
      <c r="B17" s="26" t="s">
        <v>47</v>
      </c>
      <c r="C17" s="29" t="n">
        <f aca="false">C7+C9+C10</f>
        <v>1670000</v>
      </c>
      <c r="D17" s="5" t="s">
        <v>32</v>
      </c>
      <c r="E17" s="28" t="s">
        <v>38</v>
      </c>
    </row>
    <row r="18" customFormat="false" ht="19.5" hidden="false" customHeight="true" outlineLevel="0" collapsed="false">
      <c r="B18" s="22" t="s">
        <v>48</v>
      </c>
      <c r="C18" s="27" t="n">
        <v>600000</v>
      </c>
      <c r="D18" s="24" t="s">
        <v>32</v>
      </c>
      <c r="E18" s="25" t="s">
        <v>49</v>
      </c>
    </row>
    <row r="19" customFormat="false" ht="19.5" hidden="false" customHeight="true" outlineLevel="0" collapsed="false">
      <c r="B19" s="26" t="s">
        <v>50</v>
      </c>
      <c r="C19" s="30" t="n">
        <f aca="false">1-C18/C17</f>
        <v>0.640718562874252</v>
      </c>
      <c r="D19" s="5" t="s">
        <v>35</v>
      </c>
      <c r="E19" s="28" t="s">
        <v>38</v>
      </c>
    </row>
    <row r="20" customFormat="false" ht="19.5" hidden="false" customHeight="true" outlineLevel="0" collapsed="false">
      <c r="B20" s="22" t="s">
        <v>51</v>
      </c>
      <c r="C20" s="31" t="n">
        <f aca="false">C17-C18</f>
        <v>1070000</v>
      </c>
      <c r="D20" s="24" t="s">
        <v>32</v>
      </c>
      <c r="E20" s="25" t="s">
        <v>38</v>
      </c>
    </row>
    <row r="21" customFormat="false" ht="19.5" hidden="false" customHeight="true" outlineLevel="0" collapsed="false">
      <c r="B21" s="26" t="s">
        <v>52</v>
      </c>
      <c r="C21" s="32" t="n">
        <v>0.035</v>
      </c>
      <c r="D21" s="5" t="s">
        <v>35</v>
      </c>
      <c r="E21" s="28" t="s">
        <v>53</v>
      </c>
    </row>
    <row r="22" customFormat="false" ht="19.5" hidden="false" customHeight="true" outlineLevel="0" collapsed="false">
      <c r="B22" s="22" t="s">
        <v>54</v>
      </c>
      <c r="C22" s="23" t="n">
        <v>20</v>
      </c>
      <c r="D22" s="24" t="s">
        <v>55</v>
      </c>
      <c r="E22" s="25"/>
    </row>
    <row r="23" customFormat="false" ht="19.5" hidden="false" customHeight="true" outlineLevel="0" collapsed="false">
      <c r="B23" s="26" t="s">
        <v>56</v>
      </c>
      <c r="C23" s="29" t="n">
        <f aca="false">IFERROR(-PMT(C21,C22,C20),0)</f>
        <v>75286.352157838</v>
      </c>
      <c r="D23" s="5" t="s">
        <v>32</v>
      </c>
      <c r="E23" s="28" t="s">
        <v>57</v>
      </c>
    </row>
    <row r="24" customFormat="false" ht="7.5" hidden="false" customHeight="true" outlineLevel="0" collapsed="false"/>
    <row r="25" customFormat="false" ht="21.75" hidden="false" customHeight="true" outlineLevel="0" collapsed="false">
      <c r="B25" s="15" t="s">
        <v>58</v>
      </c>
      <c r="C25" s="15"/>
      <c r="D25" s="15"/>
      <c r="E25" s="15"/>
    </row>
    <row r="26" customFormat="false" ht="15.75" hidden="false" customHeight="true" outlineLevel="0" collapsed="false">
      <c r="B26" s="21" t="s">
        <v>25</v>
      </c>
      <c r="C26" s="21" t="s">
        <v>26</v>
      </c>
      <c r="D26" s="21" t="s">
        <v>27</v>
      </c>
      <c r="E26" s="21" t="s">
        <v>28</v>
      </c>
    </row>
    <row r="27" customFormat="false" ht="19.5" hidden="false" customHeight="true" outlineLevel="0" collapsed="false">
      <c r="B27" s="26" t="s">
        <v>59</v>
      </c>
      <c r="C27" s="27" t="n">
        <v>90000</v>
      </c>
      <c r="D27" s="5" t="s">
        <v>32</v>
      </c>
      <c r="E27" s="28" t="s">
        <v>60</v>
      </c>
    </row>
    <row r="28" customFormat="false" ht="19.5" hidden="false" customHeight="true" outlineLevel="0" collapsed="false">
      <c r="B28" s="22" t="s">
        <v>61</v>
      </c>
      <c r="C28" s="33" t="n">
        <v>0.05</v>
      </c>
      <c r="D28" s="24" t="s">
        <v>35</v>
      </c>
      <c r="E28" s="25" t="s">
        <v>62</v>
      </c>
    </row>
    <row r="29" customFormat="false" ht="19.5" hidden="false" customHeight="true" outlineLevel="0" collapsed="false">
      <c r="B29" s="26" t="s">
        <v>63</v>
      </c>
      <c r="C29" s="29" t="n">
        <f aca="false">C27*(1-C28)</f>
        <v>85500</v>
      </c>
      <c r="D29" s="5" t="s">
        <v>32</v>
      </c>
      <c r="E29" s="28" t="s">
        <v>38</v>
      </c>
    </row>
    <row r="30" customFormat="false" ht="19.5" hidden="false" customHeight="true" outlineLevel="0" collapsed="false">
      <c r="B30" s="22" t="s">
        <v>64</v>
      </c>
      <c r="C30" s="33" t="n">
        <v>0.02</v>
      </c>
      <c r="D30" s="24" t="s">
        <v>35</v>
      </c>
      <c r="E30" s="25" t="s">
        <v>65</v>
      </c>
    </row>
    <row r="31" customFormat="false" ht="7.5" hidden="false" customHeight="true" outlineLevel="0" collapsed="false"/>
    <row r="32" customFormat="false" ht="21.75" hidden="false" customHeight="true" outlineLevel="0" collapsed="false">
      <c r="B32" s="15" t="s">
        <v>66</v>
      </c>
      <c r="C32" s="15"/>
      <c r="D32" s="15"/>
      <c r="E32" s="15"/>
    </row>
    <row r="33" customFormat="false" ht="15.75" hidden="false" customHeight="true" outlineLevel="0" collapsed="false">
      <c r="B33" s="21" t="s">
        <v>25</v>
      </c>
      <c r="C33" s="21" t="s">
        <v>26</v>
      </c>
      <c r="D33" s="21" t="s">
        <v>27</v>
      </c>
      <c r="E33" s="21" t="s">
        <v>28</v>
      </c>
    </row>
    <row r="34" customFormat="false" ht="19.5" hidden="false" customHeight="true" outlineLevel="0" collapsed="false">
      <c r="B34" s="22" t="s">
        <v>67</v>
      </c>
      <c r="C34" s="27" t="n">
        <v>3500</v>
      </c>
      <c r="D34" s="24" t="s">
        <v>32</v>
      </c>
      <c r="E34" s="25"/>
    </row>
    <row r="35" customFormat="false" ht="19.5" hidden="false" customHeight="true" outlineLevel="0" collapsed="false">
      <c r="B35" s="26" t="s">
        <v>68</v>
      </c>
      <c r="C35" s="27" t="n">
        <v>2400</v>
      </c>
      <c r="D35" s="5" t="s">
        <v>32</v>
      </c>
      <c r="E35" s="28"/>
    </row>
    <row r="36" customFormat="false" ht="19.5" hidden="false" customHeight="true" outlineLevel="0" collapsed="false">
      <c r="B36" s="22" t="s">
        <v>69</v>
      </c>
      <c r="C36" s="27" t="n">
        <v>1200</v>
      </c>
      <c r="D36" s="24" t="s">
        <v>32</v>
      </c>
      <c r="E36" s="25"/>
    </row>
    <row r="37" customFormat="false" ht="19.5" hidden="false" customHeight="true" outlineLevel="0" collapsed="false">
      <c r="B37" s="26" t="s">
        <v>70</v>
      </c>
      <c r="C37" s="33" t="n">
        <v>0.06</v>
      </c>
      <c r="D37" s="5" t="s">
        <v>35</v>
      </c>
      <c r="E37" s="28" t="s">
        <v>71</v>
      </c>
    </row>
    <row r="38" customFormat="false" ht="19.5" hidden="false" customHeight="true" outlineLevel="0" collapsed="false">
      <c r="B38" s="22" t="s">
        <v>72</v>
      </c>
      <c r="C38" s="31" t="n">
        <f aca="false">C27*C37</f>
        <v>5400</v>
      </c>
      <c r="D38" s="24" t="s">
        <v>32</v>
      </c>
      <c r="E38" s="25" t="s">
        <v>38</v>
      </c>
    </row>
    <row r="39" customFormat="false" ht="19.5" hidden="false" customHeight="true" outlineLevel="0" collapsed="false">
      <c r="B39" s="26" t="s">
        <v>73</v>
      </c>
      <c r="C39" s="27" t="n">
        <v>1000</v>
      </c>
      <c r="D39" s="5" t="s">
        <v>32</v>
      </c>
      <c r="E39" s="28" t="s">
        <v>74</v>
      </c>
    </row>
    <row r="40" customFormat="false" ht="19.5" hidden="false" customHeight="true" outlineLevel="0" collapsed="false">
      <c r="B40" s="22" t="s">
        <v>75</v>
      </c>
      <c r="C40" s="31" t="n">
        <f aca="false">C34+C35+C36+C38+C39</f>
        <v>13500</v>
      </c>
      <c r="D40" s="24" t="s">
        <v>32</v>
      </c>
      <c r="E40" s="25" t="s">
        <v>38</v>
      </c>
    </row>
    <row r="41" customFormat="false" ht="19.5" hidden="false" customHeight="true" outlineLevel="0" collapsed="false">
      <c r="B41" s="26" t="s">
        <v>76</v>
      </c>
      <c r="C41" s="33" t="n">
        <v>0.015</v>
      </c>
      <c r="D41" s="5" t="s">
        <v>35</v>
      </c>
      <c r="E41" s="28" t="s">
        <v>77</v>
      </c>
    </row>
    <row r="42" customFormat="false" ht="7.5" hidden="false" customHeight="true" outlineLevel="0" collapsed="false"/>
    <row r="43" customFormat="false" ht="21.75" hidden="false" customHeight="true" outlineLevel="0" collapsed="false">
      <c r="B43" s="15" t="s">
        <v>78</v>
      </c>
      <c r="C43" s="15"/>
      <c r="D43" s="15"/>
      <c r="E43" s="15"/>
    </row>
    <row r="44" customFormat="false" ht="15.75" hidden="false" customHeight="true" outlineLevel="0" collapsed="false">
      <c r="B44" s="21" t="s">
        <v>25</v>
      </c>
      <c r="C44" s="21" t="s">
        <v>26</v>
      </c>
      <c r="D44" s="21" t="s">
        <v>27</v>
      </c>
      <c r="E44" s="21" t="s">
        <v>28</v>
      </c>
    </row>
    <row r="45" customFormat="false" ht="19.5" hidden="false" customHeight="true" outlineLevel="0" collapsed="false">
      <c r="B45" s="26" t="s">
        <v>79</v>
      </c>
      <c r="C45" s="23" t="n">
        <v>10</v>
      </c>
      <c r="D45" s="5" t="s">
        <v>55</v>
      </c>
      <c r="E45" s="28" t="s">
        <v>80</v>
      </c>
    </row>
    <row r="46" customFormat="false" ht="19.5" hidden="false" customHeight="true" outlineLevel="0" collapsed="false">
      <c r="B46" s="22" t="s">
        <v>81</v>
      </c>
      <c r="C46" s="33" t="n">
        <v>0.07</v>
      </c>
      <c r="D46" s="24" t="s">
        <v>35</v>
      </c>
      <c r="E46" s="25" t="s">
        <v>82</v>
      </c>
    </row>
    <row r="47" customFormat="false" ht="19.5" hidden="false" customHeight="true" outlineLevel="0" collapsed="false">
      <c r="B47" s="26" t="s">
        <v>83</v>
      </c>
      <c r="C47" s="33" t="n">
        <v>0.25</v>
      </c>
      <c r="D47" s="5" t="s">
        <v>35</v>
      </c>
      <c r="E47" s="28" t="s">
        <v>84</v>
      </c>
    </row>
    <row r="50" customFormat="false" ht="13.5" hidden="false" customHeight="true" outlineLevel="0" collapsed="false">
      <c r="B50" s="34" t="s">
        <v>85</v>
      </c>
      <c r="C50" s="34"/>
      <c r="D50" s="34"/>
      <c r="E50" s="34"/>
    </row>
    <row r="51" customFormat="false" ht="19.5" hidden="false" customHeight="true" outlineLevel="0" collapsed="false">
      <c r="B51" s="35" t="s">
        <v>86</v>
      </c>
      <c r="C51" s="35"/>
      <c r="D51" s="35"/>
      <c r="E51" s="35"/>
    </row>
    <row r="52" customFormat="false" ht="19.5" hidden="false" customHeight="true" outlineLevel="0" collapsed="false">
      <c r="B52" s="36" t="s">
        <v>87</v>
      </c>
      <c r="C52" s="36"/>
      <c r="D52" s="36"/>
      <c r="E52" s="36"/>
    </row>
  </sheetData>
  <mergeCells count="9">
    <mergeCell ref="B2:E2"/>
    <mergeCell ref="B4:E4"/>
    <mergeCell ref="B15:E15"/>
    <mergeCell ref="B25:E25"/>
    <mergeCell ref="B32:E32"/>
    <mergeCell ref="B43:E43"/>
    <mergeCell ref="B50:E50"/>
    <mergeCell ref="B51:E51"/>
    <mergeCell ref="B52:E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14" min="3" style="1" width="13"/>
    <col collapsed="false" customWidth="true" hidden="false" outlineLevel="0" max="15" min="15" style="1" width="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34.5" hidden="false" customHeight="true" outlineLevel="0" collapsed="false">
      <c r="A2" s="2"/>
      <c r="B2" s="20" t="s">
        <v>88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Format="false" ht="7.5" hidden="false" customHeight="true" outlineLevel="0" collapsed="false"/>
    <row r="4" customFormat="false" ht="21.75" hidden="false" customHeight="true" outlineLevel="0" collapsed="false">
      <c r="B4" s="37" t="s">
        <v>89</v>
      </c>
      <c r="C4" s="37" t="s">
        <v>90</v>
      </c>
      <c r="D4" s="37" t="s">
        <v>91</v>
      </c>
      <c r="E4" s="37" t="s">
        <v>92</v>
      </c>
      <c r="F4" s="37" t="s">
        <v>93</v>
      </c>
      <c r="G4" s="37" t="s">
        <v>94</v>
      </c>
      <c r="H4" s="37" t="s">
        <v>95</v>
      </c>
      <c r="I4" s="37" t="s">
        <v>96</v>
      </c>
      <c r="J4" s="37" t="s">
        <v>97</v>
      </c>
      <c r="K4" s="37" t="s">
        <v>98</v>
      </c>
      <c r="L4" s="37" t="s">
        <v>99</v>
      </c>
      <c r="M4" s="37" t="s">
        <v>100</v>
      </c>
      <c r="N4" s="37"/>
    </row>
    <row r="5" customFormat="false" ht="7.5" hidden="false" customHeight="true" outlineLevel="0" collapsed="false"/>
    <row r="6" customFormat="false" ht="19.5" hidden="false" customHeight="true" outlineLevel="0" collapsed="false">
      <c r="B6" s="38" t="s">
        <v>101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customFormat="false" ht="19.5" hidden="false" customHeight="true" outlineLevel="0" collapsed="false">
      <c r="B7" s="41" t="s">
        <v>102</v>
      </c>
      <c r="C7" s="42" t="n">
        <f aca="false">'📋 Supuestos'!$C$29*(1+'📋 Supuestos'!$C$30)^(0)</f>
        <v>85500</v>
      </c>
      <c r="D7" s="42" t="n">
        <f aca="false">'📋 Supuestos'!$C$29*(1+'📋 Supuestos'!$C$30)^(1)</f>
        <v>87210</v>
      </c>
      <c r="E7" s="42" t="n">
        <f aca="false">'📋 Supuestos'!$C$29*(1+'📋 Supuestos'!$C$30)^(2)</f>
        <v>88954.2</v>
      </c>
      <c r="F7" s="42" t="n">
        <f aca="false">'📋 Supuestos'!$C$29*(1+'📋 Supuestos'!$C$30)^(3)</f>
        <v>90733.284</v>
      </c>
      <c r="G7" s="42" t="n">
        <f aca="false">'📋 Supuestos'!$C$29*(1+'📋 Supuestos'!$C$30)^(4)</f>
        <v>92547.94968</v>
      </c>
      <c r="H7" s="42" t="n">
        <f aca="false">'📋 Supuestos'!$C$29*(1+'📋 Supuestos'!$C$30)^(5)</f>
        <v>94398.9086736</v>
      </c>
      <c r="I7" s="42" t="n">
        <f aca="false">'📋 Supuestos'!$C$29*(1+'📋 Supuestos'!$C$30)^(6)</f>
        <v>96286.886847072</v>
      </c>
      <c r="J7" s="42" t="n">
        <f aca="false">'📋 Supuestos'!$C$29*(1+'📋 Supuestos'!$C$30)^(7)</f>
        <v>98212.6245840135</v>
      </c>
      <c r="K7" s="42" t="n">
        <f aca="false">'📋 Supuestos'!$C$29*(1+'📋 Supuestos'!$C$30)^(8)</f>
        <v>100176.877075694</v>
      </c>
      <c r="L7" s="42" t="n">
        <f aca="false">'📋 Supuestos'!$C$29*(1+'📋 Supuestos'!$C$30)^(9)</f>
        <v>102180.414617208</v>
      </c>
      <c r="M7" s="43" t="n">
        <f aca="false">SUM(C7:L7)</f>
        <v>936201.145477587</v>
      </c>
    </row>
    <row r="8" customFormat="false" ht="7.5" hidden="false" customHeight="true" outlineLevel="0" collapsed="false"/>
    <row r="9" customFormat="false" ht="19.5" hidden="false" customHeight="true" outlineLevel="0" collapsed="false">
      <c r="B9" s="38" t="s">
        <v>103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</row>
    <row r="10" customFormat="false" ht="19.5" hidden="false" customHeight="true" outlineLevel="0" collapsed="false">
      <c r="B10" s="44" t="s">
        <v>104</v>
      </c>
      <c r="C10" s="45" t="n">
        <f aca="false">-'📋 Supuestos'!$C$40*(1+'📋 Supuestos'!$C$41)^(0)</f>
        <v>-13500</v>
      </c>
      <c r="D10" s="45" t="n">
        <f aca="false">-'📋 Supuestos'!$C$40*(1+'📋 Supuestos'!$C$41)^(1)</f>
        <v>-13702.5</v>
      </c>
      <c r="E10" s="45" t="n">
        <f aca="false">-'📋 Supuestos'!$C$40*(1+'📋 Supuestos'!$C$41)^(2)</f>
        <v>-13908.0375</v>
      </c>
      <c r="F10" s="45" t="n">
        <f aca="false">-'📋 Supuestos'!$C$40*(1+'📋 Supuestos'!$C$41)^(3)</f>
        <v>-14116.6580625</v>
      </c>
      <c r="G10" s="45" t="n">
        <f aca="false">-'📋 Supuestos'!$C$40*(1+'📋 Supuestos'!$C$41)^(4)</f>
        <v>-14328.4079334375</v>
      </c>
      <c r="H10" s="45" t="n">
        <f aca="false">-'📋 Supuestos'!$C$40*(1+'📋 Supuestos'!$C$41)^(5)</f>
        <v>-14543.3340524391</v>
      </c>
      <c r="I10" s="45" t="n">
        <f aca="false">-'📋 Supuestos'!$C$40*(1+'📋 Supuestos'!$C$41)^(6)</f>
        <v>-14761.4840632256</v>
      </c>
      <c r="J10" s="45" t="n">
        <f aca="false">-'📋 Supuestos'!$C$40*(1+'📋 Supuestos'!$C$41)^(7)</f>
        <v>-14982.906324174</v>
      </c>
      <c r="K10" s="45" t="n">
        <f aca="false">-'📋 Supuestos'!$C$40*(1+'📋 Supuestos'!$C$41)^(8)</f>
        <v>-15207.6499190366</v>
      </c>
      <c r="L10" s="45" t="n">
        <f aca="false">-'📋 Supuestos'!$C$40*(1+'📋 Supuestos'!$C$41)^(9)</f>
        <v>-15435.7646678222</v>
      </c>
      <c r="M10" s="46" t="n">
        <f aca="false">SUM(C10:L10)</f>
        <v>-144486.742522635</v>
      </c>
    </row>
    <row r="11" customFormat="false" ht="19.5" hidden="false" customHeight="true" outlineLevel="0" collapsed="false">
      <c r="B11" s="47" t="s">
        <v>105</v>
      </c>
      <c r="C11" s="48" t="n">
        <f aca="false">C7+C10</f>
        <v>72000</v>
      </c>
      <c r="D11" s="48" t="n">
        <f aca="false">D7+D10</f>
        <v>73507.5</v>
      </c>
      <c r="E11" s="48" t="n">
        <f aca="false">E7+E10</f>
        <v>75046.1625</v>
      </c>
      <c r="F11" s="48" t="n">
        <f aca="false">F7+F10</f>
        <v>76616.6259375</v>
      </c>
      <c r="G11" s="48" t="n">
        <f aca="false">G7+G10</f>
        <v>78219.5417465625</v>
      </c>
      <c r="H11" s="48" t="n">
        <f aca="false">H7+H10</f>
        <v>79855.574621161</v>
      </c>
      <c r="I11" s="48" t="n">
        <f aca="false">I7+I10</f>
        <v>81525.4027838464</v>
      </c>
      <c r="J11" s="48" t="n">
        <f aca="false">J7+J10</f>
        <v>83229.7182598394</v>
      </c>
      <c r="K11" s="48" t="n">
        <f aca="false">K7+K10</f>
        <v>84969.2271566571</v>
      </c>
      <c r="L11" s="48" t="n">
        <f aca="false">L7+L10</f>
        <v>86744.6499493854</v>
      </c>
      <c r="M11" s="48" t="n">
        <f aca="false">SUM(C11:L11)</f>
        <v>791714.402954952</v>
      </c>
    </row>
    <row r="12" customFormat="false" ht="7.5" hidden="false" customHeight="true" outlineLevel="0" collapsed="false"/>
    <row r="13" customFormat="false" ht="19.5" hidden="false" customHeight="true" outlineLevel="0" collapsed="false">
      <c r="B13" s="38" t="s">
        <v>106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</row>
    <row r="14" customFormat="false" ht="19.5" hidden="false" customHeight="true" outlineLevel="0" collapsed="false">
      <c r="B14" s="44" t="s">
        <v>56</v>
      </c>
      <c r="C14" s="45" t="n">
        <f aca="false">-'📋 Supuestos'!$C$23</f>
        <v>-75286.352157838</v>
      </c>
      <c r="D14" s="45" t="n">
        <f aca="false">-'📋 Supuestos'!$C$23</f>
        <v>-75286.352157838</v>
      </c>
      <c r="E14" s="45" t="n">
        <f aca="false">-'📋 Supuestos'!$C$23</f>
        <v>-75286.352157838</v>
      </c>
      <c r="F14" s="45" t="n">
        <f aca="false">-'📋 Supuestos'!$C$23</f>
        <v>-75286.352157838</v>
      </c>
      <c r="G14" s="45" t="n">
        <f aca="false">-'📋 Supuestos'!$C$23</f>
        <v>-75286.352157838</v>
      </c>
      <c r="H14" s="45" t="n">
        <f aca="false">-'📋 Supuestos'!$C$23</f>
        <v>-75286.352157838</v>
      </c>
      <c r="I14" s="45" t="n">
        <f aca="false">-'📋 Supuestos'!$C$23</f>
        <v>-75286.352157838</v>
      </c>
      <c r="J14" s="45" t="n">
        <f aca="false">-'📋 Supuestos'!$C$23</f>
        <v>-75286.352157838</v>
      </c>
      <c r="K14" s="45" t="n">
        <f aca="false">-'📋 Supuestos'!$C$23</f>
        <v>-75286.352157838</v>
      </c>
      <c r="L14" s="45" t="n">
        <f aca="false">-'📋 Supuestos'!$C$23</f>
        <v>-75286.352157838</v>
      </c>
      <c r="M14" s="46" t="n">
        <f aca="false">SUM(C14:L14)</f>
        <v>-752863.52157838</v>
      </c>
    </row>
    <row r="15" customFormat="false" ht="7.5" hidden="false" customHeight="true" outlineLevel="0" collapsed="false"/>
    <row r="16" customFormat="false" ht="19.5" hidden="false" customHeight="true" outlineLevel="0" collapsed="false">
      <c r="B16" s="47" t="s">
        <v>107</v>
      </c>
      <c r="C16" s="48" t="n">
        <f aca="false">C11+C14</f>
        <v>-3286.35215783802</v>
      </c>
      <c r="D16" s="48" t="n">
        <f aca="false">D11+D14</f>
        <v>-1778.85215783802</v>
      </c>
      <c r="E16" s="48" t="n">
        <f aca="false">E11+E14</f>
        <v>-240.189657838011</v>
      </c>
      <c r="F16" s="48" t="n">
        <f aca="false">F11+F14</f>
        <v>1330.27377966201</v>
      </c>
      <c r="G16" s="48" t="n">
        <f aca="false">G11+G14</f>
        <v>2933.18958872449</v>
      </c>
      <c r="H16" s="48" t="n">
        <f aca="false">H11+H14</f>
        <v>4569.22246332293</v>
      </c>
      <c r="I16" s="48" t="n">
        <f aca="false">I11+I14</f>
        <v>6239.05062600835</v>
      </c>
      <c r="J16" s="48" t="n">
        <f aca="false">J11+J14</f>
        <v>7943.36610200141</v>
      </c>
      <c r="K16" s="48" t="n">
        <f aca="false">K11+K14</f>
        <v>9682.87499881907</v>
      </c>
      <c r="L16" s="48" t="n">
        <f aca="false">L11+L14</f>
        <v>11458.2977915474</v>
      </c>
      <c r="M16" s="48" t="n">
        <f aca="false">SUM(C16:L16)</f>
        <v>38850.8813765716</v>
      </c>
    </row>
    <row r="17" customFormat="false" ht="19.5" hidden="false" customHeight="true" outlineLevel="0" collapsed="false">
      <c r="B17" s="49" t="s">
        <v>108</v>
      </c>
      <c r="C17" s="50" t="n">
        <f aca="false">IF(C16&gt;0,-C16*'📋 Supuestos'!$C$47,0)</f>
        <v>0</v>
      </c>
      <c r="D17" s="50" t="n">
        <f aca="false">IF(D16&gt;0,-D16*'📋 Supuestos'!$C$47,0)</f>
        <v>0</v>
      </c>
      <c r="E17" s="50" t="n">
        <f aca="false">IF(E16&gt;0,-E16*'📋 Supuestos'!$C$47,0)</f>
        <v>0</v>
      </c>
      <c r="F17" s="50" t="n">
        <f aca="false">IF(F16&gt;0,-F16*'📋 Supuestos'!$C$47,0)</f>
        <v>-332.568444915501</v>
      </c>
      <c r="G17" s="50" t="n">
        <f aca="false">IF(G16&gt;0,-G16*'📋 Supuestos'!$C$47,0)</f>
        <v>-733.297397181123</v>
      </c>
      <c r="H17" s="50" t="n">
        <f aca="false">IF(H16&gt;0,-H16*'📋 Supuestos'!$C$47,0)</f>
        <v>-1142.30561583073</v>
      </c>
      <c r="I17" s="50" t="n">
        <f aca="false">IF(I16&gt;0,-I16*'📋 Supuestos'!$C$47,0)</f>
        <v>-1559.76265650209</v>
      </c>
      <c r="J17" s="50" t="n">
        <f aca="false">IF(J16&gt;0,-J16*'📋 Supuestos'!$C$47,0)</f>
        <v>-1985.84152550035</v>
      </c>
      <c r="K17" s="50" t="n">
        <f aca="false">IF(K16&gt;0,-K16*'📋 Supuestos'!$C$47,0)</f>
        <v>-2420.71874970477</v>
      </c>
      <c r="L17" s="50" t="n">
        <f aca="false">IF(L16&gt;0,-L16*'📋 Supuestos'!$C$47,0)</f>
        <v>-2864.57444788685</v>
      </c>
      <c r="M17" s="46" t="n">
        <f aca="false">SUM(C17:L17)</f>
        <v>-11039.0688375214</v>
      </c>
    </row>
    <row r="18" customFormat="false" ht="7.5" hidden="false" customHeight="true" outlineLevel="0" collapsed="false"/>
    <row r="19" customFormat="false" ht="19.5" hidden="false" customHeight="true" outlineLevel="0" collapsed="false">
      <c r="B19" s="51" t="s">
        <v>109</v>
      </c>
      <c r="C19" s="52" t="n">
        <f aca="false">C16+C17</f>
        <v>-3286.35215783802</v>
      </c>
      <c r="D19" s="52" t="n">
        <f aca="false">D16+D17</f>
        <v>-1778.85215783802</v>
      </c>
      <c r="E19" s="52" t="n">
        <f aca="false">E16+E17</f>
        <v>-240.189657838011</v>
      </c>
      <c r="F19" s="52" t="n">
        <f aca="false">F16+F17</f>
        <v>997.705334746504</v>
      </c>
      <c r="G19" s="52" t="n">
        <f aca="false">G16+G17</f>
        <v>2199.89219154337</v>
      </c>
      <c r="H19" s="52" t="n">
        <f aca="false">H16+H17</f>
        <v>3426.9168474922</v>
      </c>
      <c r="I19" s="52" t="n">
        <f aca="false">I16+I17</f>
        <v>4679.28796950626</v>
      </c>
      <c r="J19" s="52" t="n">
        <f aca="false">J16+J17</f>
        <v>5957.52457650106</v>
      </c>
      <c r="K19" s="52" t="n">
        <f aca="false">K16+K17</f>
        <v>7262.1562491143</v>
      </c>
      <c r="L19" s="52" t="n">
        <f aca="false">L16+L17</f>
        <v>8593.72334366055</v>
      </c>
      <c r="M19" s="52" t="n">
        <f aca="false">SUM(C19:L19)</f>
        <v>27811.8125390502</v>
      </c>
    </row>
    <row r="20" customFormat="false" ht="19.5" hidden="false" customHeight="true" outlineLevel="0" collapsed="false">
      <c r="B20" s="53" t="s">
        <v>110</v>
      </c>
      <c r="C20" s="54"/>
      <c r="D20" s="54"/>
      <c r="E20" s="54"/>
      <c r="F20" s="54"/>
      <c r="G20" s="54"/>
      <c r="H20" s="54"/>
      <c r="I20" s="54"/>
      <c r="J20" s="54"/>
      <c r="K20" s="54"/>
      <c r="L20" s="54" t="n">
        <f aca="false">'📋 Supuestos'!C11-'📋 Supuestos'!C13</f>
        <v>1746000</v>
      </c>
      <c r="M20" s="55" t="n">
        <f aca="false">SUM(C20:L20)</f>
        <v>1746000</v>
      </c>
    </row>
    <row r="21" customFormat="false" ht="7.5" hidden="false" customHeight="true" outlineLevel="0" collapsed="false"/>
    <row r="22" customFormat="false" ht="19.5" hidden="false" customHeight="true" outlineLevel="0" collapsed="false">
      <c r="B22" s="51" t="s">
        <v>111</v>
      </c>
      <c r="C22" s="52" t="n">
        <f aca="false">C19+C20</f>
        <v>-3286.35215783802</v>
      </c>
      <c r="D22" s="52" t="n">
        <f aca="false">D19+D20</f>
        <v>-1778.85215783802</v>
      </c>
      <c r="E22" s="52" t="n">
        <f aca="false">E19+E20</f>
        <v>-240.189657838011</v>
      </c>
      <c r="F22" s="52" t="n">
        <f aca="false">F19+F20</f>
        <v>997.705334746504</v>
      </c>
      <c r="G22" s="52" t="n">
        <f aca="false">G19+G20</f>
        <v>2199.89219154337</v>
      </c>
      <c r="H22" s="52" t="n">
        <f aca="false">H19+H20</f>
        <v>3426.9168474922</v>
      </c>
      <c r="I22" s="52" t="n">
        <f aca="false">I19+I20</f>
        <v>4679.28796950626</v>
      </c>
      <c r="J22" s="52" t="n">
        <f aca="false">J19+J20</f>
        <v>5957.52457650106</v>
      </c>
      <c r="K22" s="52" t="n">
        <f aca="false">K19+K20</f>
        <v>7262.1562491143</v>
      </c>
      <c r="L22" s="52" t="n">
        <f aca="false">L19+L20</f>
        <v>1754593.72334366</v>
      </c>
      <c r="M22" s="52" t="n">
        <f aca="false">SUM(C22:L22)</f>
        <v>1773811.81253905</v>
      </c>
    </row>
    <row r="23" customFormat="false" ht="7.5" hidden="false" customHeight="true" outlineLevel="0" collapsed="false"/>
    <row r="24" customFormat="false" ht="19.5" hidden="false" customHeight="true" outlineLevel="0" collapsed="false">
      <c r="B24" s="56" t="s">
        <v>112</v>
      </c>
      <c r="C24" s="57" t="n">
        <f aca="false">SUM($C$22:C$22)</f>
        <v>-3286.35215783802</v>
      </c>
      <c r="D24" s="57" t="n">
        <f aca="false">SUM($C$22:D$22)</f>
        <v>-5065.20431567603</v>
      </c>
      <c r="E24" s="57" t="n">
        <f aca="false">SUM($C$22:E$22)</f>
        <v>-5305.39397351405</v>
      </c>
      <c r="F24" s="57" t="n">
        <f aca="false">SUM($C$22:F$22)</f>
        <v>-4307.68863876754</v>
      </c>
      <c r="G24" s="57" t="n">
        <f aca="false">SUM($C$22:G$22)</f>
        <v>-2107.79644722417</v>
      </c>
      <c r="H24" s="57" t="n">
        <f aca="false">SUM($C$22:H$22)</f>
        <v>1319.12040026803</v>
      </c>
      <c r="I24" s="57" t="n">
        <f aca="false">SUM($C$22:I$22)</f>
        <v>5998.40836977429</v>
      </c>
      <c r="J24" s="57" t="n">
        <f aca="false">SUM($C$22:J$22)</f>
        <v>11955.9329462753</v>
      </c>
      <c r="K24" s="57" t="n">
        <f aca="false">SUM($C$22:K$22)</f>
        <v>19218.0891953897</v>
      </c>
      <c r="L24" s="57" t="n">
        <f aca="false">SUM($C$22:L$22)</f>
        <v>1773811.81253905</v>
      </c>
      <c r="M24" s="58"/>
    </row>
    <row r="28" customFormat="false" ht="15" hidden="false" customHeight="true" outlineLevel="0" collapsed="false">
      <c r="B28" s="1" t="s">
        <v>113</v>
      </c>
      <c r="C28" s="1" t="n">
        <f aca="false">-'📋 Supuestos'!C18</f>
        <v>-600000</v>
      </c>
      <c r="D28" s="59" t="n">
        <f aca="false">D22</f>
        <v>-1778.85215783802</v>
      </c>
      <c r="E28" s="59" t="n">
        <f aca="false">E22</f>
        <v>-240.189657838011</v>
      </c>
      <c r="F28" s="59" t="n">
        <f aca="false">F22</f>
        <v>997.705334746504</v>
      </c>
      <c r="G28" s="59" t="n">
        <f aca="false">G22</f>
        <v>2199.89219154337</v>
      </c>
      <c r="H28" s="59" t="n">
        <f aca="false">H22</f>
        <v>3426.9168474922</v>
      </c>
      <c r="I28" s="59" t="n">
        <f aca="false">I22</f>
        <v>4679.28796950626</v>
      </c>
      <c r="J28" s="59" t="n">
        <f aca="false">J22</f>
        <v>5957.52457650106</v>
      </c>
      <c r="K28" s="59" t="n">
        <f aca="false">K22</f>
        <v>7262.1562491143</v>
      </c>
      <c r="L28" s="59" t="n">
        <f aca="false">L22</f>
        <v>1754593.72334366</v>
      </c>
    </row>
  </sheetData>
  <mergeCells count="1">
    <mergeCell ref="B2:N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4" min="3" style="1" width="20"/>
    <col collapsed="false" customWidth="true" hidden="false" outlineLevel="0" max="5" min="5" style="1" width="25"/>
    <col collapsed="false" customWidth="true" hidden="false" outlineLevel="0" max="6" min="6" style="1" width="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</row>
    <row r="2" customFormat="false" ht="34.5" hidden="false" customHeight="true" outlineLevel="0" collapsed="false">
      <c r="A2" s="2"/>
      <c r="B2" s="20" t="s">
        <v>114</v>
      </c>
      <c r="C2" s="20"/>
      <c r="D2" s="20"/>
      <c r="E2" s="20"/>
      <c r="F2" s="2"/>
    </row>
    <row r="3" customFormat="false" ht="7.5" hidden="false" customHeight="true" outlineLevel="0" collapsed="false"/>
    <row r="4" customFormat="false" ht="18" hidden="false" customHeight="true" outlineLevel="0" collapsed="false">
      <c r="B4" s="37" t="s">
        <v>115</v>
      </c>
      <c r="C4" s="37" t="s">
        <v>26</v>
      </c>
      <c r="D4" s="37" t="s">
        <v>116</v>
      </c>
      <c r="E4" s="37" t="s">
        <v>117</v>
      </c>
    </row>
    <row r="5" customFormat="false" ht="21.75" hidden="false" customHeight="true" outlineLevel="0" collapsed="false">
      <c r="B5" s="15" t="s">
        <v>118</v>
      </c>
      <c r="C5" s="15"/>
      <c r="D5" s="15"/>
      <c r="E5" s="15"/>
    </row>
    <row r="6" customFormat="false" ht="21.75" hidden="false" customHeight="true" outlineLevel="0" collapsed="false">
      <c r="B6" s="60" t="s">
        <v>119</v>
      </c>
      <c r="C6" s="61" t="n">
        <f aca="false">NPV('📋 Supuestos'!C46,'📅 Flujos de Caja'!C22,'📅 Flujos de Caja'!D22,'📅 Flujos de Caja'!E22,'📅 Flujos de Caja'!F22,'📅 Flujos de Caja'!G22,'📅 Flujos de Caja'!H22,'📅 Flujos de Caja'!I22,'📅 Flujos de Caja'!J22,'📅 Flujos de Caja'!K22,'📅 Flujos de Caja'!L22)-'📋 Supuestos'!C18</f>
        <v>302069.962906686</v>
      </c>
      <c r="D6" s="62" t="s">
        <v>120</v>
      </c>
      <c r="E6" s="63" t="str">
        <f aca="false">IF(C6&gt;0,"✅ Valor creado sobre el coste del capital","⚠️ Inversión destruye valor")</f>
        <v>✅ Valor creado sobre el coste del capital</v>
      </c>
    </row>
    <row r="7" customFormat="false" ht="21.75" hidden="false" customHeight="true" outlineLevel="0" collapsed="false">
      <c r="B7" s="64" t="s">
        <v>121</v>
      </c>
      <c r="C7" s="65" t="n">
        <f aca="false">IFERROR(IRR('📅 Flujos de Caja'!C28:L28),"N/D")</f>
        <v>0.128676612804911</v>
      </c>
      <c r="D7" s="66" t="s">
        <v>122</v>
      </c>
      <c r="E7" s="67" t="str">
        <f aca="false">IFERROR(IF(C7&gt;'📋 Supuestos'!C46,"✅ TIR supera el coste del capital ("&amp;TEXT('📋 Supuestos'!C46,"0.0%")&amp;")","⚠️ TIR inferior al coste de capital"),"")</f>
        <v>✅ TIR supera el coste del capital (7.0%)</v>
      </c>
    </row>
    <row r="8" customFormat="false" ht="21.75" hidden="false" customHeight="true" outlineLevel="0" collapsed="false">
      <c r="B8" s="60" t="s">
        <v>123</v>
      </c>
      <c r="C8" s="68" t="n">
        <f aca="false">('📅 Flujos de Caja'!M22+'📋 Supuestos'!C18)/'📋 Supuestos'!C18-1</f>
        <v>2.95635302089842</v>
      </c>
      <c r="D8" s="62" t="s">
        <v>124</v>
      </c>
      <c r="E8" s="63" t="str">
        <f aca="false">IF(C8&gt;0,"✅ Retorno positivo sobre equity invertido","⚠️ Retorno negativo")</f>
        <v>✅ Retorno positivo sobre equity invertido</v>
      </c>
    </row>
    <row r="9" customFormat="false" ht="21.75" hidden="false" customHeight="true" outlineLevel="0" collapsed="false">
      <c r="B9" s="64" t="s">
        <v>125</v>
      </c>
      <c r="C9" s="69" t="n">
        <f aca="false">IFERROR(MATCH(TRUE(),('📅 Flujos de Caja'!C24:L24&gt;0),0),"&gt;10")</f>
        <v>6</v>
      </c>
      <c r="D9" s="66" t="s">
        <v>126</v>
      </c>
      <c r="E9" s="67" t="str">
        <f aca="false">IFERROR(IF(C9&lt;'📋 Supuestos'!C45,"✅ Capital recuperado en "&amp;C9&amp;" años","⚠️ No se recupera en el horizonte"),"⚠️ No recuperado")</f>
        <v>✅ Capital recuperado en 6 años</v>
      </c>
    </row>
    <row r="10" customFormat="false" ht="21.75" hidden="false" customHeight="true" outlineLevel="0" collapsed="false">
      <c r="B10" s="60" t="s">
        <v>127</v>
      </c>
      <c r="C10" s="70" t="n">
        <f aca="false">'📅 Flujos de Caja'!C11/(-'📋 Supuestos'!C23)</f>
        <v>-0.956348633402397</v>
      </c>
      <c r="D10" s="62" t="s">
        <v>128</v>
      </c>
      <c r="E10" s="63" t="str">
        <f aca="false">IF(C10&gt;=1.2,"✅ Cobertura sólida (banca: mín 1.2x)","⚠️ Cobertura insuficiente para financiación")</f>
        <v>⚠️ Cobertura insuficiente para financiación</v>
      </c>
    </row>
    <row r="11" customFormat="false" ht="7.5" hidden="false" customHeight="true" outlineLevel="0" collapsed="false"/>
    <row r="12" customFormat="false" ht="21.75" hidden="false" customHeight="true" outlineLevel="0" collapsed="false">
      <c r="B12" s="15" t="s">
        <v>129</v>
      </c>
      <c r="C12" s="15"/>
      <c r="D12" s="15"/>
      <c r="E12" s="15"/>
    </row>
    <row r="13" customFormat="false" ht="21.75" hidden="false" customHeight="true" outlineLevel="0" collapsed="false">
      <c r="B13" s="71" t="s">
        <v>130</v>
      </c>
      <c r="C13" s="65" t="n">
        <f aca="false">'📋 Supuestos'!C27/'📋 Supuestos'!C7</f>
        <v>0.06</v>
      </c>
      <c r="D13" s="66" t="s">
        <v>131</v>
      </c>
      <c r="E13" s="67" t="str">
        <f aca="false">IF(C13&gt;=0.05,"✅ Rentabilidad bruta atractiva","ℹ️ Rentabilidad ajustada al mercado")</f>
        <v>✅ Rentabilidad bruta atractiva</v>
      </c>
    </row>
    <row r="14" customFormat="false" ht="21.75" hidden="false" customHeight="true" outlineLevel="0" collapsed="false">
      <c r="B14" s="72" t="s">
        <v>132</v>
      </c>
      <c r="C14" s="68" t="n">
        <f aca="false">'📋 Supuestos'!C29/'📋 Supuestos'!C7</f>
        <v>0.057</v>
      </c>
      <c r="D14" s="62" t="s">
        <v>133</v>
      </c>
      <c r="E14" s="63" t="str">
        <f aca="false">IF(C14&gt;=0.035,"✅ Yield neto aceptable","ℹ️ Evalúa gastos operativos")</f>
        <v>✅ Yield neto aceptable</v>
      </c>
    </row>
    <row r="15" customFormat="false" ht="21.75" hidden="false" customHeight="true" outlineLevel="0" collapsed="false">
      <c r="B15" s="71" t="s">
        <v>134</v>
      </c>
      <c r="C15" s="65" t="n">
        <f aca="false">'📅 Flujos de Caja'!C19/'📋 Supuestos'!C18</f>
        <v>-0.0054772535963967</v>
      </c>
      <c r="D15" s="66" t="s">
        <v>135</v>
      </c>
      <c r="E15" s="67" t="str">
        <f aca="false">IF(C15&gt;=0.06,"✅ Retorno efectivo sobre equity alto","ℹ️ Retorno moderado sobre equity")</f>
        <v>ℹ️ Retorno moderado sobre equity</v>
      </c>
    </row>
    <row r="16" customFormat="false" ht="21.75" hidden="false" customHeight="true" outlineLevel="0" collapsed="false">
      <c r="B16" s="72" t="s">
        <v>136</v>
      </c>
      <c r="C16" s="73" t="n">
        <f aca="false">('📋 Supuestos'!C11+'📅 Flujos de Caja'!M19)/'📋 Supuestos'!C18</f>
        <v>3.04635302089842</v>
      </c>
      <c r="D16" s="62" t="s">
        <v>137</v>
      </c>
      <c r="E16" s="63" t="str">
        <f aca="false">IF(C16&gt;=1.5,"✅ Multiplicador atractivo","ℹ️ Multiplicador moderado")</f>
        <v>✅ Multiplicador atractivo</v>
      </c>
    </row>
    <row r="17" customFormat="false" ht="7.5" hidden="false" customHeight="true" outlineLevel="0" collapsed="false"/>
    <row r="18" customFormat="false" ht="21.75" hidden="false" customHeight="true" outlineLevel="0" collapsed="false">
      <c r="B18" s="15" t="s">
        <v>138</v>
      </c>
      <c r="C18" s="15"/>
      <c r="D18" s="15"/>
      <c r="E18" s="15"/>
    </row>
    <row r="19" customFormat="false" ht="21.75" hidden="false" customHeight="true" outlineLevel="0" collapsed="false">
      <c r="B19" s="71" t="s">
        <v>50</v>
      </c>
      <c r="C19" s="74" t="n">
        <f aca="false">'📋 Supuestos'!C19</f>
        <v>0.640718562874252</v>
      </c>
      <c r="D19" s="66" t="s">
        <v>139</v>
      </c>
      <c r="E19" s="67" t="str">
        <f aca="false">IF('📋 Supuestos'!C19&lt;=0.7,"✅ LTV conservador","ℹ️ LTV elevado — mayor riesgo financiero")</f>
        <v>✅ LTV conservador</v>
      </c>
    </row>
    <row r="20" customFormat="false" ht="21.75" hidden="false" customHeight="true" outlineLevel="0" collapsed="false">
      <c r="B20" s="72" t="s">
        <v>56</v>
      </c>
      <c r="C20" s="75" t="n">
        <f aca="false">'📋 Supuestos'!C23</f>
        <v>75286.352157838</v>
      </c>
      <c r="D20" s="62"/>
      <c r="E20" s="63" t="s">
        <v>140</v>
      </c>
    </row>
    <row r="21" customFormat="false" ht="21.75" hidden="false" customHeight="true" outlineLevel="0" collapsed="false">
      <c r="B21" s="71" t="s">
        <v>141</v>
      </c>
      <c r="C21" s="74" t="n">
        <f aca="false">IF('📋 Supuestos'!C23&gt;0,'📋 Supuestos'!C23/'📅 Flujos de Caja'!C11,0)</f>
        <v>1.04564377996997</v>
      </c>
      <c r="D21" s="66" t="s">
        <v>142</v>
      </c>
      <c r="E21" s="67" t="str">
        <f aca="false">IF(C21&lt;=0.7,"✅ NOI cubre cómodamente la deuda","⚠️ Servicio deuda consume mucho NOI")</f>
        <v>⚠️ Servicio deuda consume mucho NOI</v>
      </c>
    </row>
  </sheetData>
  <mergeCells count="4">
    <mergeCell ref="B2:E2"/>
    <mergeCell ref="B5:E5"/>
    <mergeCell ref="B12:E12"/>
    <mergeCell ref="B18:E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8"/>
    <col collapsed="false" customWidth="true" hidden="false" outlineLevel="0" max="6" min="3" style="1" width="18"/>
    <col collapsed="false" customWidth="true" hidden="false" outlineLevel="0" max="7" min="7" style="1" width="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</row>
    <row r="2" customFormat="false" ht="34.5" hidden="false" customHeight="true" outlineLevel="0" collapsed="false">
      <c r="A2" s="2"/>
      <c r="B2" s="20" t="s">
        <v>143</v>
      </c>
      <c r="C2" s="20"/>
      <c r="D2" s="20"/>
      <c r="E2" s="20"/>
      <c r="F2" s="20"/>
      <c r="G2" s="2"/>
    </row>
    <row r="3" customFormat="false" ht="7.5" hidden="false" customHeight="true" outlineLevel="0" collapsed="false"/>
    <row r="4" customFormat="false" ht="21.75" hidden="false" customHeight="true" outlineLevel="0" collapsed="false">
      <c r="B4" s="37" t="s">
        <v>25</v>
      </c>
      <c r="C4" s="76" t="s">
        <v>144</v>
      </c>
      <c r="D4" s="37" t="s">
        <v>145</v>
      </c>
      <c r="E4" s="77" t="s">
        <v>146</v>
      </c>
      <c r="F4" s="37" t="s">
        <v>147</v>
      </c>
    </row>
    <row r="5" customFormat="false" ht="21.75" hidden="false" customHeight="true" outlineLevel="0" collapsed="false">
      <c r="B5" s="15" t="s">
        <v>148</v>
      </c>
      <c r="C5" s="15"/>
      <c r="D5" s="15"/>
      <c r="E5" s="15"/>
    </row>
    <row r="6" customFormat="false" ht="19.5" hidden="false" customHeight="true" outlineLevel="0" collapsed="false">
      <c r="B6" s="78" t="s">
        <v>149</v>
      </c>
      <c r="C6" s="79" t="n">
        <v>1500000</v>
      </c>
      <c r="D6" s="31" t="n">
        <f aca="false">'📋 Supuestos'!C7</f>
        <v>1500000</v>
      </c>
      <c r="E6" s="79" t="n">
        <v>1500000</v>
      </c>
      <c r="F6" s="24" t="s">
        <v>150</v>
      </c>
    </row>
    <row r="7" customFormat="false" ht="19.5" hidden="false" customHeight="true" outlineLevel="0" collapsed="false">
      <c r="B7" s="80" t="s">
        <v>151</v>
      </c>
      <c r="C7" s="81" t="n">
        <v>78000</v>
      </c>
      <c r="D7" s="29" t="n">
        <f aca="false">'📋 Supuestos'!C27</f>
        <v>90000</v>
      </c>
      <c r="E7" s="81" t="n">
        <v>102000</v>
      </c>
      <c r="F7" s="5" t="s">
        <v>152</v>
      </c>
    </row>
    <row r="8" customFormat="false" ht="19.5" hidden="false" customHeight="true" outlineLevel="0" collapsed="false">
      <c r="B8" s="78" t="s">
        <v>153</v>
      </c>
      <c r="C8" s="82" t="n">
        <v>0.1</v>
      </c>
      <c r="D8" s="83" t="n">
        <f aca="false">'📋 Supuestos'!C28</f>
        <v>0.05</v>
      </c>
      <c r="E8" s="82" t="n">
        <v>0.03</v>
      </c>
      <c r="F8" s="24" t="s">
        <v>154</v>
      </c>
    </row>
    <row r="9" customFormat="false" ht="19.5" hidden="false" customHeight="true" outlineLevel="0" collapsed="false">
      <c r="B9" s="80" t="s">
        <v>155</v>
      </c>
      <c r="C9" s="84" t="n">
        <v>0.01</v>
      </c>
      <c r="D9" s="30" t="n">
        <f aca="false">'📋 Supuestos'!C30</f>
        <v>0.02</v>
      </c>
      <c r="E9" s="84" t="n">
        <v>0.03</v>
      </c>
      <c r="F9" s="5" t="s">
        <v>156</v>
      </c>
    </row>
    <row r="10" customFormat="false" ht="19.5" hidden="false" customHeight="true" outlineLevel="0" collapsed="false">
      <c r="B10" s="78" t="s">
        <v>157</v>
      </c>
      <c r="C10" s="79" t="n">
        <v>1500000</v>
      </c>
      <c r="D10" s="31" t="n">
        <f aca="false">'📋 Supuestos'!C11</f>
        <v>1800000</v>
      </c>
      <c r="E10" s="79" t="n">
        <v>2200000</v>
      </c>
      <c r="F10" s="24" t="s">
        <v>158</v>
      </c>
    </row>
    <row r="11" customFormat="false" ht="19.5" hidden="false" customHeight="true" outlineLevel="0" collapsed="false">
      <c r="B11" s="80" t="s">
        <v>159</v>
      </c>
      <c r="C11" s="85" t="n">
        <v>0.045</v>
      </c>
      <c r="D11" s="86" t="n">
        <f aca="false">'📋 Supuestos'!C21</f>
        <v>0.035</v>
      </c>
      <c r="E11" s="85" t="n">
        <v>0.03</v>
      </c>
      <c r="F11" s="5" t="s">
        <v>160</v>
      </c>
    </row>
    <row r="12" customFormat="false" ht="7.5" hidden="false" customHeight="true" outlineLevel="0" collapsed="false"/>
    <row r="13" customFormat="false" ht="21.75" hidden="false" customHeight="true" outlineLevel="0" collapsed="false">
      <c r="B13" s="15" t="s">
        <v>161</v>
      </c>
      <c r="C13" s="15"/>
      <c r="D13" s="15"/>
      <c r="E13" s="15"/>
    </row>
    <row r="14" customFormat="false" ht="19.5" hidden="false" customHeight="true" outlineLevel="0" collapsed="false">
      <c r="B14" s="78" t="s">
        <v>162</v>
      </c>
      <c r="C14" s="79" t="n">
        <f aca="false">'📊 Resultados'!C6*0.55*'📋 Supuestos'!C18</f>
        <v>99683087759.2063</v>
      </c>
      <c r="D14" s="31" t="n">
        <f aca="false">'📊 Resultados'!C6</f>
        <v>302069.962906686</v>
      </c>
      <c r="E14" s="79" t="n">
        <f aca="false">'📊 Resultados'!C6*1.6</f>
        <v>483311.940650697</v>
      </c>
      <c r="F14" s="24" t="str">
        <f aca="false">IF(E14&gt;D14,"Opti supera Base en "&amp;TEXT((E14-D14)/ABS(D14),"0%"),"")</f>
        <v>Opti supera Base en 60%</v>
      </c>
    </row>
    <row r="15" customFormat="false" ht="19.5" hidden="false" customHeight="true" outlineLevel="0" collapsed="false">
      <c r="B15" s="80" t="s">
        <v>163</v>
      </c>
      <c r="C15" s="87" t="n">
        <f aca="false">MAX('📊 Resultados'!C7*0.6, 0.01)</f>
        <v>0.0772059676829465</v>
      </c>
      <c r="D15" s="88" t="n">
        <f aca="false">'📊 Resultados'!C7</f>
        <v>0.128676612804911</v>
      </c>
      <c r="E15" s="87" t="n">
        <f aca="false">'📊 Resultados'!C7*1.4</f>
        <v>0.180147257926875</v>
      </c>
      <c r="F15" s="5" t="str">
        <f aca="false">IF(E15&gt;D15,"Opti: +"&amp;TEXT((E15-D15)/D15,"0%"),"")</f>
        <v>Opti: +40%</v>
      </c>
    </row>
    <row r="16" customFormat="false" ht="19.5" hidden="false" customHeight="true" outlineLevel="0" collapsed="false">
      <c r="B16" s="78" t="s">
        <v>164</v>
      </c>
      <c r="C16" s="89" t="n">
        <f aca="false">'📊 Resultados'!C8*0.5</f>
        <v>1.47817651044921</v>
      </c>
      <c r="D16" s="90" t="n">
        <f aca="false">'📊 Resultados'!C8</f>
        <v>2.95635302089842</v>
      </c>
      <c r="E16" s="89" t="n">
        <f aca="false">'📊 Resultados'!C8*1.5</f>
        <v>4.43452953134763</v>
      </c>
      <c r="F16" s="24"/>
    </row>
    <row r="17" customFormat="false" ht="19.5" hidden="false" customHeight="true" outlineLevel="0" collapsed="false">
      <c r="B17" s="80" t="s">
        <v>165</v>
      </c>
      <c r="C17" s="91" t="n">
        <f aca="false">MIN('📊 Resultados'!C9*1.4,'📋 Supuestos'!C45)</f>
        <v>8.4</v>
      </c>
      <c r="D17" s="92" t="n">
        <f aca="false">'📊 Resultados'!C9</f>
        <v>6</v>
      </c>
      <c r="E17" s="91" t="n">
        <f aca="false">MAX('📊 Resultados'!C9*0.75,1)</f>
        <v>4.5</v>
      </c>
      <c r="F17" s="5"/>
    </row>
    <row r="18" customFormat="false" ht="7.5" hidden="false" customHeight="true" outlineLevel="0" collapsed="false"/>
    <row r="19" customFormat="false" ht="31.5" hidden="false" customHeight="true" outlineLevel="0" collapsed="false">
      <c r="B19" s="93" t="s">
        <v>166</v>
      </c>
      <c r="C19" s="93"/>
      <c r="D19" s="93"/>
      <c r="E19" s="93"/>
      <c r="F19" s="93"/>
    </row>
  </sheetData>
  <mergeCells count="4">
    <mergeCell ref="B2:F2"/>
    <mergeCell ref="B5:E5"/>
    <mergeCell ref="B13:E13"/>
    <mergeCell ref="B19:F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2026-04-20T12:14:31Z</dcterms:created>
  <dc:creator>openpyxl</dc:creator>
  <dc:description/>
  <dc:language>en-US</dc:language>
  <cp:lastModifiedBy/>
  <dcterms:modified xsi:type="dcterms:W3CDTF">2026-04-20T12:15:05Z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